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235" windowHeight="8010"/>
  </bookViews>
  <sheets>
    <sheet name="perf_calc" sheetId="1" r:id="rId1"/>
  </sheets>
  <definedNames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</definedNames>
  <calcPr calcId="145621"/>
</workbook>
</file>

<file path=xl/calcChain.xml><?xml version="1.0" encoding="utf-8"?>
<calcChain xmlns="http://schemas.openxmlformats.org/spreadsheetml/2006/main">
  <c r="AF11" i="1" l="1"/>
  <c r="AE11" i="1"/>
  <c r="AD11" i="1"/>
  <c r="AC11" i="1"/>
  <c r="AB11" i="1"/>
  <c r="AA11" i="1"/>
  <c r="K11" i="1"/>
  <c r="AF10" i="1"/>
  <c r="AE10" i="1"/>
  <c r="AD10" i="1"/>
  <c r="AC10" i="1"/>
  <c r="AB10" i="1"/>
  <c r="AA10" i="1"/>
  <c r="K10" i="1"/>
  <c r="AF9" i="1"/>
  <c r="AE9" i="1"/>
  <c r="AD9" i="1"/>
  <c r="AC9" i="1"/>
  <c r="K9" i="1" s="1"/>
  <c r="AB9" i="1"/>
  <c r="AA9" i="1"/>
  <c r="AF8" i="1"/>
  <c r="AE8" i="1"/>
  <c r="AD8" i="1"/>
  <c r="AC8" i="1"/>
  <c r="K8" i="1" s="1"/>
  <c r="AB8" i="1"/>
  <c r="AA8" i="1"/>
  <c r="AF7" i="1"/>
  <c r="AE7" i="1"/>
  <c r="AD7" i="1"/>
  <c r="AC7" i="1"/>
  <c r="AB7" i="1"/>
  <c r="AA7" i="1"/>
  <c r="K7" i="1"/>
  <c r="V5" i="1"/>
  <c r="U5" i="1"/>
  <c r="T5" i="1"/>
  <c r="S5" i="1"/>
  <c r="R5" i="1"/>
  <c r="Q5" i="1"/>
  <c r="Q4" i="1" s="1"/>
  <c r="P5" i="1"/>
  <c r="P4" i="1" s="1"/>
  <c r="O5" i="1"/>
  <c r="N5" i="1"/>
  <c r="N4" i="1" s="1"/>
  <c r="M5" i="1"/>
  <c r="K5" i="1"/>
  <c r="H5" i="1" s="1"/>
  <c r="V4" i="1"/>
  <c r="U4" i="1"/>
  <c r="T4" i="1"/>
  <c r="S4" i="1"/>
  <c r="R4" i="1"/>
  <c r="M4" i="1"/>
  <c r="L4" i="1"/>
  <c r="H4" i="1"/>
  <c r="E1" i="1"/>
  <c r="L5" i="1" s="1"/>
  <c r="L8" i="1" l="1"/>
  <c r="M8" i="1" s="1"/>
  <c r="N8" i="1" s="1"/>
  <c r="O8" i="1" s="1"/>
  <c r="P8" i="1" s="1"/>
  <c r="Q8" i="1" s="1"/>
  <c r="R8" i="1" s="1"/>
  <c r="S8" i="1" s="1"/>
  <c r="T8" i="1" s="1"/>
  <c r="U8" i="1" s="1"/>
  <c r="V8" i="1" s="1"/>
  <c r="H8" i="1" s="1"/>
  <c r="L9" i="1"/>
  <c r="M9" i="1" s="1"/>
  <c r="N9" i="1" s="1"/>
  <c r="O9" i="1" s="1"/>
  <c r="P9" i="1" s="1"/>
  <c r="Q9" i="1" s="1"/>
  <c r="R9" i="1" s="1"/>
  <c r="S9" i="1" s="1"/>
  <c r="T9" i="1" s="1"/>
  <c r="U9" i="1" s="1"/>
  <c r="V9" i="1" s="1"/>
  <c r="H9" i="1" s="1"/>
  <c r="L10" i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H10" i="1" s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H11" i="1" s="1"/>
  <c r="L7" i="1"/>
  <c r="M7" i="1" s="1"/>
  <c r="N7" i="1" s="1"/>
  <c r="O7" i="1" s="1"/>
  <c r="P7" i="1" s="1"/>
  <c r="Q7" i="1" s="1"/>
  <c r="R7" i="1" s="1"/>
  <c r="S7" i="1" s="1"/>
  <c r="T7" i="1" s="1"/>
  <c r="U7" i="1" s="1"/>
  <c r="V7" i="1" s="1"/>
  <c r="H7" i="1" s="1"/>
</calcChain>
</file>

<file path=xl/comments1.xml><?xml version="1.0" encoding="utf-8"?>
<comments xmlns="http://schemas.openxmlformats.org/spreadsheetml/2006/main">
  <authors>
    <author>Acer PC</author>
  </authors>
  <commentList>
    <comment ref="E4" authorId="0">
      <text>
        <r>
          <rPr>
            <sz val="8"/>
            <color indexed="81"/>
            <rFont val="Tahoma"/>
            <family val="2"/>
            <charset val="162"/>
          </rPr>
          <t>1 World Rec
2 World Cl
3 National
34 Inbetween
4 Regional
5 Local
6 Beginner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yaş başına 1.3*coeff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yaş başına 1,6*coeff
</t>
        </r>
      </text>
    </comment>
  </commentList>
</comments>
</file>

<file path=xl/sharedStrings.xml><?xml version="1.0" encoding="utf-8"?>
<sst xmlns="http://schemas.openxmlformats.org/spreadsheetml/2006/main" count="80" uniqueCount="59">
  <si>
    <t>current</t>
  </si>
  <si>
    <t>year</t>
  </si>
  <si>
    <t>INPUT Data</t>
  </si>
  <si>
    <t>years</t>
  </si>
  <si>
    <t>m/fm</t>
  </si>
  <si>
    <r>
      <t>kg/m</t>
    </r>
    <r>
      <rPr>
        <i/>
        <vertAlign val="superscript"/>
        <sz val="9"/>
        <color theme="0"/>
        <rFont val="Arial"/>
        <family val="2"/>
        <charset val="162"/>
      </rPr>
      <t>2</t>
    </r>
  </si>
  <si>
    <t>ml/kg*min</t>
  </si>
  <si>
    <t>km</t>
  </si>
  <si>
    <t>dak/km</t>
  </si>
  <si>
    <t>6x800</t>
  </si>
  <si>
    <t>metre</t>
  </si>
  <si>
    <t>C</t>
  </si>
  <si>
    <t>%</t>
  </si>
  <si>
    <t>your</t>
  </si>
  <si>
    <t>name</t>
  </si>
  <si>
    <t>text</t>
  </si>
  <si>
    <t>age</t>
  </si>
  <si>
    <t xml:space="preserve">gender </t>
  </si>
  <si>
    <t>BMI</t>
  </si>
  <si>
    <r>
      <t>Vo</t>
    </r>
    <r>
      <rPr>
        <b/>
        <vertAlign val="subscript"/>
        <sz val="10"/>
        <color theme="0"/>
        <rFont val="Calibri"/>
        <family val="2"/>
        <charset val="162"/>
        <scheme val="minor"/>
      </rPr>
      <t>2</t>
    </r>
    <r>
      <rPr>
        <b/>
        <sz val="11"/>
        <color theme="0"/>
        <rFont val="Calibri"/>
        <family val="2"/>
        <scheme val="minor"/>
      </rPr>
      <t>max</t>
    </r>
  </si>
  <si>
    <t>exe. /week</t>
  </si>
  <si>
    <t>av.expace</t>
  </si>
  <si>
    <t>interval</t>
  </si>
  <si>
    <t>altitude</t>
  </si>
  <si>
    <t>Elev. Gain</t>
  </si>
  <si>
    <t>temp</t>
  </si>
  <si>
    <t>humid</t>
  </si>
  <si>
    <t>level</t>
  </si>
  <si>
    <t>1-6</t>
  </si>
  <si>
    <t>result</t>
  </si>
  <si>
    <t>coeff-&gt;</t>
  </si>
  <si>
    <t>sn/km</t>
  </si>
  <si>
    <t>birthyear</t>
  </si>
  <si>
    <t>19xx</t>
  </si>
  <si>
    <t>yours-&gt;</t>
  </si>
  <si>
    <t>height</t>
  </si>
  <si>
    <t>cm</t>
  </si>
  <si>
    <t>d</t>
  </si>
  <si>
    <t>time</t>
  </si>
  <si>
    <t>refs-&gt;</t>
  </si>
  <si>
    <t>male</t>
  </si>
  <si>
    <t>weight</t>
  </si>
  <si>
    <t>kg</t>
  </si>
  <si>
    <t>gender</t>
  </si>
  <si>
    <t>f/m</t>
  </si>
  <si>
    <t>m</t>
  </si>
  <si>
    <r>
      <t>Vo</t>
    </r>
    <r>
      <rPr>
        <b/>
        <vertAlign val="subscript"/>
        <sz val="10"/>
        <rFont val="Calibri"/>
        <family val="2"/>
        <charset val="162"/>
        <scheme val="minor"/>
      </rPr>
      <t>2</t>
    </r>
    <r>
      <rPr>
        <b/>
        <sz val="11"/>
        <rFont val="Calibri"/>
        <family val="2"/>
        <scheme val="minor"/>
      </rPr>
      <t>max</t>
    </r>
  </si>
  <si>
    <t>weeekly-ex</t>
  </si>
  <si>
    <t>pace, average</t>
  </si>
  <si>
    <t>intervals</t>
  </si>
  <si>
    <t>0/1</t>
  </si>
  <si>
    <t>ground</t>
  </si>
  <si>
    <t>elev.Gain</t>
  </si>
  <si>
    <t>weather</t>
  </si>
  <si>
    <t>temperature</t>
  </si>
  <si>
    <r>
      <rPr>
        <i/>
        <vertAlign val="superscript"/>
        <sz val="9"/>
        <color theme="5" tint="-0.249977111117893"/>
        <rFont val="Arial"/>
        <family val="2"/>
        <charset val="162"/>
      </rPr>
      <t>o</t>
    </r>
    <r>
      <rPr>
        <i/>
        <sz val="9"/>
        <color theme="5" tint="-0.249977111117893"/>
        <rFont val="Arial"/>
        <family val="2"/>
        <charset val="162"/>
      </rPr>
      <t>C</t>
    </r>
  </si>
  <si>
    <t>humidity</t>
  </si>
  <si>
    <t>Paul Morrissey</t>
  </si>
  <si>
    <t>min/km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</si>
</sst>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\k"/>
    <numFmt numFmtId="165" formatCode="[h]:mm:ss;@"/>
    <numFmt numFmtId="166" formatCode="0.0"/>
    <numFmt numFmtId="167" formatCode="h:mm:ss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2"/>
    </font>
    <font>
      <sz val="12"/>
      <color theme="0"/>
      <name val="Arial"/>
      <family val="2"/>
      <charset val="162"/>
    </font>
    <font>
      <sz val="12"/>
      <name val="Arial"/>
      <family val="2"/>
      <charset val="162"/>
    </font>
    <font>
      <b/>
      <sz val="12"/>
      <color theme="0" tint="-4.9989318521683403E-2"/>
      <name val="Arial"/>
      <family val="2"/>
      <charset val="162"/>
    </font>
    <font>
      <b/>
      <sz val="14"/>
      <color theme="0"/>
      <name val="Arial"/>
      <family val="2"/>
      <charset val="162"/>
    </font>
    <font>
      <i/>
      <sz val="9"/>
      <color theme="0"/>
      <name val="Arial"/>
      <family val="2"/>
      <charset val="162"/>
    </font>
    <font>
      <i/>
      <vertAlign val="superscript"/>
      <sz val="9"/>
      <color theme="0"/>
      <name val="Arial"/>
      <family val="2"/>
      <charset val="162"/>
    </font>
    <font>
      <sz val="11"/>
      <color theme="1"/>
      <name val="Calibri"/>
      <family val="2"/>
      <scheme val="minor"/>
    </font>
    <font>
      <sz val="14"/>
      <name val="Arial Narrow"/>
      <family val="2"/>
      <charset val="162"/>
    </font>
    <font>
      <b/>
      <sz val="14"/>
      <name val="Arial Narrow"/>
      <family val="2"/>
    </font>
    <font>
      <i/>
      <sz val="14"/>
      <name val="Arial Narrow"/>
      <family val="2"/>
    </font>
    <font>
      <b/>
      <sz val="11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charset val="162"/>
      <scheme val="minor"/>
    </font>
    <font>
      <b/>
      <sz val="14"/>
      <color rgb="FFFF0000"/>
      <name val="Arial Narrow"/>
      <family val="2"/>
    </font>
    <font>
      <b/>
      <sz val="11"/>
      <name val="Calibri"/>
      <family val="2"/>
      <scheme val="minor"/>
    </font>
    <font>
      <b/>
      <sz val="12"/>
      <name val="Calibri"/>
      <family val="2"/>
      <charset val="16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62"/>
    </font>
    <font>
      <b/>
      <vertAlign val="subscript"/>
      <sz val="10"/>
      <name val="Calibri"/>
      <family val="2"/>
      <charset val="162"/>
      <scheme val="minor"/>
    </font>
    <font>
      <sz val="14"/>
      <color theme="5" tint="-0.249977111117893"/>
      <name val="Arial Narrow"/>
      <family val="2"/>
      <charset val="162"/>
    </font>
    <font>
      <b/>
      <sz val="14"/>
      <color theme="5" tint="-0.249977111117893"/>
      <name val="Arial Narrow"/>
      <family val="2"/>
    </font>
    <font>
      <i/>
      <sz val="14"/>
      <color theme="5" tint="-0.249977111117893"/>
      <name val="Arial Narrow"/>
      <family val="2"/>
    </font>
    <font>
      <i/>
      <vertAlign val="superscript"/>
      <sz val="9"/>
      <color theme="5" tint="-0.249977111117893"/>
      <name val="Arial"/>
      <family val="2"/>
      <charset val="162"/>
    </font>
    <font>
      <i/>
      <sz val="9"/>
      <color theme="5" tint="-0.249977111117893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8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i/>
      <sz val="14"/>
      <name val="Arial Narrow"/>
      <family val="2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thick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ck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/>
      <diagonal/>
    </border>
    <border>
      <left style="thick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24994659260841701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24994659260841701"/>
      </bottom>
      <diagonal/>
    </border>
    <border>
      <left/>
      <right style="thin">
        <color theme="4" tint="0.59996337778862885"/>
      </right>
      <top style="thick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ck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medium">
        <color indexed="64"/>
      </right>
      <top style="thick">
        <color theme="4" tint="0.59996337778862885"/>
      </top>
      <bottom style="thin">
        <color theme="4" tint="0.59996337778862885"/>
      </bottom>
      <diagonal/>
    </border>
    <border>
      <left style="thick">
        <color theme="0" tint="-0.499984740745262"/>
      </left>
      <right/>
      <top/>
      <bottom style="thin">
        <color theme="0" tint="-0.24994659260841701"/>
      </bottom>
      <diagonal/>
    </border>
    <border>
      <left/>
      <right style="thick">
        <color theme="0" tint="-0.499984740745262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1" tint="0.499984740745262"/>
      </left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ck">
        <color theme="0" tint="-0.499984740745262"/>
      </right>
      <top/>
      <bottom style="thin">
        <color theme="0" tint="-4.9989318521683403E-2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medium">
        <color indexed="64"/>
      </right>
      <top style="thin">
        <color theme="4" tint="0.59996337778862885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499984740745262"/>
      </left>
      <right/>
      <top style="thin">
        <color theme="0" tint="-0.24994659260841701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24994659260841701"/>
      </top>
      <bottom style="thick">
        <color theme="0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ck">
        <color theme="0" tint="-0.499984740745262"/>
      </left>
      <right/>
      <top style="thin">
        <color theme="0" tint="-0.34998626667073579"/>
      </top>
      <bottom style="thick">
        <color theme="0" tint="-0.499984740745262"/>
      </bottom>
      <diagonal/>
    </border>
    <border>
      <left/>
      <right/>
      <top style="thin">
        <color theme="0" tint="-0.34998626667073579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4.9989318521683403E-2"/>
      </top>
      <bottom style="thin">
        <color theme="9" tint="0.39994506668294322"/>
      </bottom>
      <diagonal/>
    </border>
    <border>
      <left/>
      <right style="thick">
        <color theme="0" tint="-0.499984740745262"/>
      </right>
      <top/>
      <bottom style="thin">
        <color theme="9" tint="0.3999450666829432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 style="thick">
        <color theme="0" tint="-0.499984740745262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0" fontId="3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2" borderId="1" xfId="2" applyNumberFormat="1" applyFont="1" applyFill="1" applyBorder="1" applyAlignment="1" applyProtection="1"/>
    <xf numFmtId="0" fontId="4" fillId="3" borderId="1" xfId="2" applyNumberFormat="1" applyFont="1" applyFill="1" applyBorder="1" applyAlignment="1" applyProtection="1"/>
    <xf numFmtId="0" fontId="4" fillId="3" borderId="2" xfId="2" applyNumberFormat="1" applyFont="1" applyFill="1" applyBorder="1" applyAlignment="1" applyProtection="1"/>
    <xf numFmtId="0" fontId="4" fillId="3" borderId="3" xfId="2" applyNumberFormat="1" applyFont="1" applyFill="1" applyBorder="1" applyAlignment="1" applyProtection="1">
      <alignment horizontal="right"/>
    </xf>
    <xf numFmtId="0" fontId="3" fillId="2" borderId="2" xfId="2" applyNumberFormat="1" applyFont="1" applyFill="1" applyBorder="1" applyAlignment="1" applyProtection="1"/>
    <xf numFmtId="0" fontId="3" fillId="2" borderId="3" xfId="2" applyNumberFormat="1" applyFont="1" applyFill="1" applyBorder="1" applyAlignment="1" applyProtection="1"/>
    <xf numFmtId="0" fontId="3" fillId="2" borderId="0" xfId="2" applyNumberFormat="1" applyFont="1" applyFill="1" applyAlignment="1" applyProtection="1"/>
    <xf numFmtId="0" fontId="3" fillId="0" borderId="0" xfId="2" applyNumberFormat="1" applyFont="1" applyAlignment="1" applyProtection="1"/>
    <xf numFmtId="0" fontId="3" fillId="0" borderId="0" xfId="2" applyProtection="1"/>
    <xf numFmtId="0" fontId="3" fillId="2" borderId="4" xfId="2" applyNumberFormat="1" applyFont="1" applyFill="1" applyBorder="1" applyAlignment="1" applyProtection="1"/>
    <xf numFmtId="0" fontId="3" fillId="2" borderId="0" xfId="2" applyNumberFormat="1" applyFont="1" applyFill="1" applyBorder="1" applyAlignment="1" applyProtection="1"/>
    <xf numFmtId="0" fontId="3" fillId="2" borderId="5" xfId="2" applyNumberFormat="1" applyFont="1" applyFill="1" applyBorder="1" applyAlignment="1" applyProtection="1"/>
    <xf numFmtId="0" fontId="3" fillId="5" borderId="6" xfId="2" applyNumberFormat="1" applyFont="1" applyFill="1" applyBorder="1" applyAlignment="1" applyProtection="1"/>
    <xf numFmtId="0" fontId="6" fillId="5" borderId="7" xfId="2" applyNumberFormat="1" applyFont="1" applyFill="1" applyBorder="1" applyAlignment="1" applyProtection="1">
      <alignment horizontal="center"/>
    </xf>
    <xf numFmtId="0" fontId="6" fillId="5" borderId="8" xfId="2" applyNumberFormat="1" applyFont="1" applyFill="1" applyBorder="1" applyAlignment="1" applyProtection="1">
      <alignment horizontal="center"/>
    </xf>
    <xf numFmtId="0" fontId="6" fillId="5" borderId="9" xfId="2" applyNumberFormat="1" applyFont="1" applyFill="1" applyBorder="1" applyAlignment="1" applyProtection="1">
      <alignment horizontal="center"/>
    </xf>
    <xf numFmtId="3" fontId="9" fillId="6" borderId="10" xfId="0" applyNumberFormat="1" applyFont="1" applyFill="1" applyBorder="1" applyAlignment="1">
      <alignment horizontal="right" shrinkToFit="1"/>
    </xf>
    <xf numFmtId="3" fontId="10" fillId="6" borderId="11" xfId="0" applyNumberFormat="1" applyFont="1" applyFill="1" applyBorder="1" applyAlignment="1">
      <alignment horizontal="left" shrinkToFit="1"/>
    </xf>
    <xf numFmtId="0" fontId="3" fillId="5" borderId="0" xfId="2" applyNumberFormat="1" applyFont="1" applyFill="1" applyBorder="1" applyAlignment="1" applyProtection="1"/>
    <xf numFmtId="0" fontId="12" fillId="7" borderId="13" xfId="0" applyFont="1" applyFill="1" applyBorder="1" applyAlignment="1" applyProtection="1">
      <alignment horizontal="center" vertical="top" wrapText="1" shrinkToFit="1"/>
    </xf>
    <xf numFmtId="0" fontId="12" fillId="7" borderId="14" xfId="0" applyFont="1" applyFill="1" applyBorder="1" applyAlignment="1" applyProtection="1">
      <alignment horizontal="center" vertical="top" wrapText="1" shrinkToFit="1"/>
    </xf>
    <xf numFmtId="0" fontId="12" fillId="7" borderId="15" xfId="0" applyFont="1" applyFill="1" applyBorder="1" applyAlignment="1" applyProtection="1">
      <alignment horizontal="center" vertical="top" wrapText="1" shrinkToFit="1"/>
    </xf>
    <xf numFmtId="3" fontId="9" fillId="6" borderId="16" xfId="0" applyNumberFormat="1" applyFont="1" applyFill="1" applyBorder="1" applyAlignment="1">
      <alignment horizontal="right" shrinkToFit="1"/>
    </xf>
    <xf numFmtId="3" fontId="10" fillId="6" borderId="17" xfId="0" applyNumberFormat="1" applyFont="1" applyFill="1" applyBorder="1" applyAlignment="1">
      <alignment horizontal="left" shrinkToFit="1"/>
    </xf>
    <xf numFmtId="164" fontId="15" fillId="6" borderId="18" xfId="0" applyNumberFormat="1" applyFont="1" applyFill="1" applyBorder="1" applyAlignment="1" applyProtection="1">
      <alignment horizontal="center" wrapText="1"/>
    </xf>
    <xf numFmtId="165" fontId="16" fillId="9" borderId="19" xfId="0" applyNumberFormat="1" applyFont="1" applyFill="1" applyBorder="1" applyProtection="1"/>
    <xf numFmtId="0" fontId="2" fillId="10" borderId="20" xfId="2" applyNumberFormat="1" applyFont="1" applyFill="1" applyBorder="1" applyAlignment="1" applyProtection="1"/>
    <xf numFmtId="0" fontId="2" fillId="10" borderId="21" xfId="2" applyNumberFormat="1" applyFont="1" applyFill="1" applyBorder="1" applyAlignment="1" applyProtection="1"/>
    <xf numFmtId="165" fontId="12" fillId="10" borderId="21" xfId="0" applyNumberFormat="1" applyFont="1" applyFill="1" applyBorder="1" applyAlignment="1" applyProtection="1">
      <alignment horizontal="center" wrapText="1"/>
    </xf>
    <xf numFmtId="165" fontId="17" fillId="10" borderId="21" xfId="0" applyNumberFormat="1" applyFont="1" applyFill="1" applyBorder="1" applyAlignment="1" applyProtection="1">
      <alignment horizontal="center" wrapText="1"/>
    </xf>
    <xf numFmtId="2" fontId="18" fillId="10" borderId="21" xfId="2" applyNumberFormat="1" applyFont="1" applyFill="1" applyBorder="1" applyAlignment="1" applyProtection="1"/>
    <xf numFmtId="165" fontId="12" fillId="10" borderId="22" xfId="0" applyNumberFormat="1" applyFont="1" applyFill="1" applyBorder="1" applyAlignment="1" applyProtection="1">
      <alignment horizontal="center" wrapText="1"/>
    </xf>
    <xf numFmtId="3" fontId="9" fillId="6" borderId="4" xfId="0" applyNumberFormat="1" applyFont="1" applyFill="1" applyBorder="1" applyAlignment="1">
      <alignment horizontal="right" shrinkToFit="1"/>
    </xf>
    <xf numFmtId="3" fontId="10" fillId="6" borderId="0" xfId="0" applyNumberFormat="1" applyFont="1" applyFill="1" applyBorder="1" applyAlignment="1">
      <alignment horizontal="left" shrinkToFit="1"/>
    </xf>
    <xf numFmtId="164" fontId="15" fillId="6" borderId="23" xfId="0" applyNumberFormat="1" applyFont="1" applyFill="1" applyBorder="1" applyAlignment="1" applyProtection="1">
      <alignment horizontal="center" wrapText="1"/>
    </xf>
    <xf numFmtId="165" fontId="16" fillId="9" borderId="24" xfId="0" applyNumberFormat="1" applyFont="1" applyFill="1" applyBorder="1" applyProtection="1"/>
    <xf numFmtId="0" fontId="19" fillId="11" borderId="25" xfId="2" applyNumberFormat="1" applyFont="1" applyFill="1" applyBorder="1" applyAlignment="1" applyProtection="1"/>
    <xf numFmtId="0" fontId="20" fillId="11" borderId="26" xfId="0" applyFont="1" applyFill="1" applyBorder="1" applyAlignment="1" applyProtection="1">
      <alignment horizontal="center"/>
    </xf>
    <xf numFmtId="0" fontId="21" fillId="11" borderId="26" xfId="0" applyFont="1" applyFill="1" applyBorder="1" applyAlignment="1" applyProtection="1">
      <alignment horizontal="center"/>
    </xf>
    <xf numFmtId="0" fontId="19" fillId="11" borderId="26" xfId="2" applyNumberFormat="1" applyFont="1" applyFill="1" applyBorder="1" applyAlignment="1" applyProtection="1">
      <alignment horizontal="center"/>
    </xf>
    <xf numFmtId="166" fontId="19" fillId="11" borderId="26" xfId="2" applyNumberFormat="1" applyFont="1" applyFill="1" applyBorder="1" applyAlignment="1" applyProtection="1">
      <alignment horizontal="center"/>
    </xf>
    <xf numFmtId="1" fontId="19" fillId="11" borderId="26" xfId="2" applyNumberFormat="1" applyFont="1" applyFill="1" applyBorder="1" applyAlignment="1" applyProtection="1">
      <alignment horizontal="center"/>
    </xf>
    <xf numFmtId="3" fontId="19" fillId="11" borderId="26" xfId="2" applyNumberFormat="1" applyFont="1" applyFill="1" applyBorder="1" applyAlignment="1" applyProtection="1">
      <alignment horizontal="center"/>
    </xf>
    <xf numFmtId="9" fontId="19" fillId="11" borderId="27" xfId="2" applyNumberFormat="1" applyFont="1" applyFill="1" applyBorder="1" applyAlignment="1" applyProtection="1">
      <alignment horizontal="center"/>
    </xf>
    <xf numFmtId="0" fontId="3" fillId="9" borderId="28" xfId="2" applyNumberFormat="1" applyFont="1" applyFill="1" applyBorder="1" applyAlignment="1" applyProtection="1"/>
    <xf numFmtId="0" fontId="3" fillId="0" borderId="29" xfId="2" applyNumberFormat="1" applyFont="1" applyBorder="1" applyAlignment="1" applyProtection="1"/>
    <xf numFmtId="3" fontId="9" fillId="6" borderId="30" xfId="0" applyNumberFormat="1" applyFont="1" applyFill="1" applyBorder="1" applyAlignment="1">
      <alignment horizontal="right" shrinkToFit="1"/>
    </xf>
    <xf numFmtId="3" fontId="10" fillId="6" borderId="31" xfId="0" applyNumberFormat="1" applyFont="1" applyFill="1" applyBorder="1" applyAlignment="1">
      <alignment horizontal="left" shrinkToFit="1"/>
    </xf>
    <xf numFmtId="3" fontId="14" fillId="8" borderId="32" xfId="0" applyNumberFormat="1" applyFont="1" applyFill="1" applyBorder="1" applyAlignment="1" applyProtection="1">
      <alignment horizontal="right" shrinkToFit="1"/>
      <protection locked="0"/>
    </xf>
    <xf numFmtId="0" fontId="2" fillId="12" borderId="4" xfId="2" applyNumberFormat="1" applyFont="1" applyFill="1" applyBorder="1" applyAlignment="1" applyProtection="1">
      <alignment horizontal="center"/>
    </xf>
    <xf numFmtId="0" fontId="2" fillId="12" borderId="5" xfId="2" applyNumberFormat="1" applyFont="1" applyFill="1" applyBorder="1" applyAlignment="1" applyProtection="1">
      <alignment horizontal="center"/>
    </xf>
    <xf numFmtId="0" fontId="2" fillId="4" borderId="33" xfId="2" applyNumberFormat="1" applyFont="1" applyFill="1" applyBorder="1" applyAlignment="1" applyProtection="1">
      <alignment horizontal="center"/>
    </xf>
    <xf numFmtId="0" fontId="2" fillId="4" borderId="34" xfId="2" applyNumberFormat="1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center"/>
    </xf>
    <xf numFmtId="9" fontId="22" fillId="4" borderId="35" xfId="0" applyNumberFormat="1" applyFont="1" applyFill="1" applyBorder="1" applyAlignment="1" applyProtection="1">
      <alignment horizontal="center"/>
    </xf>
    <xf numFmtId="0" fontId="3" fillId="9" borderId="36" xfId="2" applyNumberFormat="1" applyFont="1" applyFill="1" applyBorder="1" applyAlignment="1" applyProtection="1"/>
    <xf numFmtId="0" fontId="2" fillId="3" borderId="37" xfId="2" applyNumberFormat="1" applyFont="1" applyFill="1" applyBorder="1" applyAlignment="1" applyProtection="1">
      <alignment horizontal="center"/>
    </xf>
    <xf numFmtId="9" fontId="2" fillId="13" borderId="38" xfId="1" applyFont="1" applyFill="1" applyBorder="1" applyAlignment="1" applyProtection="1"/>
    <xf numFmtId="9" fontId="2" fillId="13" borderId="39" xfId="1" applyFont="1" applyFill="1" applyBorder="1" applyAlignment="1" applyProtection="1"/>
    <xf numFmtId="164" fontId="15" fillId="6" borderId="40" xfId="0" applyNumberFormat="1" applyFont="1" applyFill="1" applyBorder="1" applyAlignment="1" applyProtection="1">
      <alignment horizontal="center" wrapText="1"/>
    </xf>
    <xf numFmtId="165" fontId="20" fillId="14" borderId="41" xfId="0" applyNumberFormat="1" applyFont="1" applyFill="1" applyBorder="1" applyProtection="1"/>
    <xf numFmtId="165" fontId="23" fillId="9" borderId="42" xfId="0" applyNumberFormat="1" applyFont="1" applyFill="1" applyBorder="1" applyProtection="1"/>
    <xf numFmtId="165" fontId="23" fillId="9" borderId="38" xfId="0" applyNumberFormat="1" applyFont="1" applyFill="1" applyBorder="1" applyProtection="1"/>
    <xf numFmtId="165" fontId="23" fillId="9" borderId="43" xfId="0" applyNumberFormat="1" applyFont="1" applyFill="1" applyBorder="1" applyProtection="1"/>
    <xf numFmtId="0" fontId="2" fillId="15" borderId="36" xfId="2" applyNumberFormat="1" applyFont="1" applyFill="1" applyBorder="1" applyProtection="1"/>
    <xf numFmtId="164" fontId="15" fillId="6" borderId="44" xfId="0" applyNumberFormat="1" applyFont="1" applyFill="1" applyBorder="1" applyAlignment="1" applyProtection="1">
      <alignment horizontal="center" wrapText="1"/>
    </xf>
    <xf numFmtId="167" fontId="24" fillId="16" borderId="45" xfId="2" applyNumberFormat="1" applyFont="1" applyFill="1" applyBorder="1" applyAlignment="1" applyProtection="1">
      <alignment horizontal="center"/>
    </xf>
    <xf numFmtId="167" fontId="24" fillId="16" borderId="46" xfId="2" applyNumberFormat="1" applyFont="1" applyFill="1" applyBorder="1" applyAlignment="1" applyProtection="1">
      <alignment horizontal="center"/>
    </xf>
    <xf numFmtId="164" fontId="15" fillId="6" borderId="47" xfId="0" applyNumberFormat="1" applyFont="1" applyFill="1" applyBorder="1" applyAlignment="1" applyProtection="1">
      <alignment horizontal="center" wrapText="1"/>
    </xf>
    <xf numFmtId="165" fontId="16" fillId="9" borderId="48" xfId="0" applyNumberFormat="1" applyFont="1" applyFill="1" applyBorder="1" applyProtection="1"/>
    <xf numFmtId="164" fontId="15" fillId="6" borderId="49" xfId="0" applyNumberFormat="1" applyFont="1" applyFill="1" applyBorder="1" applyAlignment="1" applyProtection="1">
      <alignment horizontal="center" wrapText="1"/>
    </xf>
    <xf numFmtId="165" fontId="16" fillId="9" borderId="50" xfId="0" applyNumberFormat="1" applyFont="1" applyFill="1" applyBorder="1" applyProtection="1"/>
    <xf numFmtId="164" fontId="15" fillId="6" borderId="51" xfId="0" applyNumberFormat="1" applyFont="1" applyFill="1" applyBorder="1" applyAlignment="1" applyProtection="1">
      <alignment horizontal="center" wrapText="1"/>
    </xf>
    <xf numFmtId="165" fontId="23" fillId="9" borderId="52" xfId="0" applyNumberFormat="1" applyFont="1" applyFill="1" applyBorder="1" applyProtection="1"/>
    <xf numFmtId="165" fontId="23" fillId="9" borderId="53" xfId="0" applyNumberFormat="1" applyFont="1" applyFill="1" applyBorder="1" applyProtection="1"/>
    <xf numFmtId="165" fontId="23" fillId="9" borderId="54" xfId="0" applyNumberFormat="1" applyFont="1" applyFill="1" applyBorder="1" applyProtection="1"/>
    <xf numFmtId="0" fontId="2" fillId="15" borderId="55" xfId="2" applyNumberFormat="1" applyFont="1" applyFill="1" applyBorder="1" applyProtection="1"/>
    <xf numFmtId="164" fontId="15" fillId="6" borderId="56" xfId="0" applyNumberFormat="1" applyFont="1" applyFill="1" applyBorder="1" applyAlignment="1" applyProtection="1">
      <alignment horizontal="center" wrapText="1"/>
    </xf>
    <xf numFmtId="167" fontId="24" fillId="16" borderId="57" xfId="2" applyNumberFormat="1" applyFont="1" applyFill="1" applyBorder="1" applyAlignment="1" applyProtection="1">
      <alignment horizontal="center"/>
    </xf>
    <xf numFmtId="167" fontId="24" fillId="16" borderId="58" xfId="2" applyNumberFormat="1" applyFont="1" applyFill="1" applyBorder="1" applyAlignment="1" applyProtection="1">
      <alignment horizontal="center"/>
    </xf>
    <xf numFmtId="3" fontId="26" fillId="6" borderId="4" xfId="0" applyNumberFormat="1" applyFont="1" applyFill="1" applyBorder="1" applyAlignment="1">
      <alignment horizontal="right" shrinkToFit="1"/>
    </xf>
    <xf numFmtId="3" fontId="27" fillId="6" borderId="0" xfId="0" applyNumberFormat="1" applyFont="1" applyFill="1" applyBorder="1" applyAlignment="1">
      <alignment horizontal="left" shrinkToFit="1"/>
    </xf>
    <xf numFmtId="3" fontId="26" fillId="6" borderId="30" xfId="0" applyNumberFormat="1" applyFont="1" applyFill="1" applyBorder="1" applyAlignment="1">
      <alignment horizontal="right" shrinkToFit="1"/>
    </xf>
    <xf numFmtId="3" fontId="27" fillId="6" borderId="31" xfId="0" applyNumberFormat="1" applyFont="1" applyFill="1" applyBorder="1" applyAlignment="1">
      <alignment horizontal="left" shrinkToFit="1"/>
    </xf>
    <xf numFmtId="3" fontId="27" fillId="8" borderId="32" xfId="0" applyNumberFormat="1" applyFont="1" applyFill="1" applyBorder="1" applyAlignment="1" applyProtection="1">
      <alignment horizontal="right" shrinkToFit="1"/>
      <protection locked="0"/>
    </xf>
    <xf numFmtId="3" fontId="26" fillId="6" borderId="59" xfId="0" applyNumberFormat="1" applyFont="1" applyFill="1" applyBorder="1" applyAlignment="1">
      <alignment horizontal="right" shrinkToFit="1"/>
    </xf>
    <xf numFmtId="3" fontId="27" fillId="6" borderId="60" xfId="0" applyNumberFormat="1" applyFont="1" applyFill="1" applyBorder="1" applyAlignment="1">
      <alignment horizontal="left" shrinkToFit="1"/>
    </xf>
    <xf numFmtId="9" fontId="27" fillId="8" borderId="61" xfId="1" applyFont="1" applyFill="1" applyBorder="1" applyAlignment="1" applyProtection="1">
      <alignment horizontal="right" shrinkToFit="1"/>
      <protection locked="0"/>
    </xf>
    <xf numFmtId="0" fontId="3" fillId="4" borderId="4" xfId="2" applyNumberFormat="1" applyFont="1" applyFill="1" applyBorder="1" applyAlignment="1" applyProtection="1"/>
    <xf numFmtId="0" fontId="3" fillId="4" borderId="0" xfId="2" applyNumberFormat="1" applyFont="1" applyFill="1" applyBorder="1" applyAlignment="1" applyProtection="1"/>
    <xf numFmtId="0" fontId="3" fillId="4" borderId="5" xfId="2" applyNumberFormat="1" applyFont="1" applyFill="1" applyBorder="1" applyAlignment="1" applyProtection="1"/>
    <xf numFmtId="0" fontId="3" fillId="4" borderId="62" xfId="2" applyNumberFormat="1" applyFont="1" applyFill="1" applyBorder="1" applyAlignment="1" applyProtection="1"/>
    <xf numFmtId="0" fontId="3" fillId="4" borderId="63" xfId="2" applyNumberFormat="1" applyFont="1" applyFill="1" applyBorder="1" applyAlignment="1" applyProtection="1"/>
    <xf numFmtId="0" fontId="3" fillId="4" borderId="61" xfId="2" applyNumberFormat="1" applyFont="1" applyFill="1" applyBorder="1" applyAlignment="1" applyProtection="1"/>
    <xf numFmtId="0" fontId="3" fillId="0" borderId="0" xfId="2" applyNumberFormat="1" applyFont="1" applyBorder="1" applyProtection="1"/>
    <xf numFmtId="0" fontId="31" fillId="0" borderId="0" xfId="0" applyFont="1" applyProtection="1"/>
    <xf numFmtId="0" fontId="0" fillId="0" borderId="0" xfId="0" applyProtection="1"/>
    <xf numFmtId="3" fontId="37" fillId="8" borderId="12" xfId="0" applyNumberFormat="1" applyFont="1" applyFill="1" applyBorder="1" applyAlignment="1" applyProtection="1">
      <alignment horizontal="center" shrinkToFit="1"/>
      <protection locked="0"/>
    </xf>
    <xf numFmtId="0" fontId="3" fillId="17" borderId="0" xfId="2" applyNumberFormat="1" applyFont="1" applyFill="1" applyAlignment="1" applyProtection="1"/>
    <xf numFmtId="3" fontId="14" fillId="8" borderId="64" xfId="0" applyNumberFormat="1" applyFont="1" applyFill="1" applyBorder="1" applyAlignment="1" applyProtection="1">
      <alignment horizontal="right" shrinkToFit="1"/>
      <protection locked="0"/>
    </xf>
    <xf numFmtId="0" fontId="14" fillId="8" borderId="65" xfId="0" applyNumberFormat="1" applyFont="1" applyFill="1" applyBorder="1" applyAlignment="1" applyProtection="1">
      <alignment horizontal="right" shrinkToFit="1"/>
      <protection locked="0"/>
    </xf>
    <xf numFmtId="3" fontId="27" fillId="8" borderId="64" xfId="0" applyNumberFormat="1" applyFont="1" applyFill="1" applyBorder="1" applyAlignment="1" applyProtection="1">
      <alignment horizontal="right" shrinkToFit="1"/>
      <protection locked="0"/>
    </xf>
    <xf numFmtId="3" fontId="11" fillId="6" borderId="66" xfId="0" applyNumberFormat="1" applyFont="1" applyFill="1" applyBorder="1" applyAlignment="1">
      <alignment horizontal="left" shrinkToFit="1"/>
    </xf>
    <xf numFmtId="3" fontId="11" fillId="6" borderId="67" xfId="0" applyNumberFormat="1" applyFont="1" applyFill="1" applyBorder="1" applyAlignment="1">
      <alignment horizontal="left" shrinkToFit="1"/>
    </xf>
    <xf numFmtId="3" fontId="11" fillId="6" borderId="68" xfId="0" applyNumberFormat="1" applyFont="1" applyFill="1" applyBorder="1" applyAlignment="1">
      <alignment horizontal="left" shrinkToFit="1"/>
    </xf>
    <xf numFmtId="3" fontId="11" fillId="6" borderId="69" xfId="0" applyNumberFormat="1" applyFont="1" applyFill="1" applyBorder="1" applyAlignment="1">
      <alignment horizontal="left" shrinkToFit="1"/>
    </xf>
    <xf numFmtId="3" fontId="28" fillId="6" borderId="68" xfId="0" applyNumberFormat="1" applyFont="1" applyFill="1" applyBorder="1" applyAlignment="1">
      <alignment horizontal="left" shrinkToFit="1"/>
    </xf>
    <xf numFmtId="3" fontId="28" fillId="6" borderId="69" xfId="0" applyNumberFormat="1" applyFont="1" applyFill="1" applyBorder="1" applyAlignment="1">
      <alignment horizontal="left" shrinkToFit="1"/>
    </xf>
    <xf numFmtId="3" fontId="28" fillId="6" borderId="70" xfId="0" applyNumberFormat="1" applyFont="1" applyFill="1" applyBorder="1" applyAlignment="1">
      <alignment horizontal="left" shrinkToFit="1"/>
    </xf>
    <xf numFmtId="0" fontId="5" fillId="4" borderId="4" xfId="2" applyNumberFormat="1" applyFont="1" applyFill="1" applyBorder="1" applyAlignment="1" applyProtection="1">
      <alignment horizontal="center"/>
    </xf>
    <xf numFmtId="0" fontId="5" fillId="4" borderId="0" xfId="2" applyNumberFormat="1" applyFont="1" applyFill="1" applyBorder="1" applyAlignment="1" applyProtection="1">
      <alignment horizontal="center"/>
    </xf>
    <xf numFmtId="0" fontId="5" fillId="4" borderId="5" xfId="2" applyNumberFormat="1" applyFont="1" applyFill="1" applyBorder="1" applyAlignment="1" applyProtection="1">
      <alignment horizontal="center"/>
    </xf>
  </cellXfs>
  <cellStyles count="9">
    <cellStyle name="Normal" xfId="0" builtinId="0"/>
    <cellStyle name="Normal 2" xfId="3"/>
    <cellStyle name="Normal 3" xfId="4"/>
    <cellStyle name="Normal 4" xfId="2"/>
    <cellStyle name="Normal 5" xfId="5"/>
    <cellStyle name="Normal 6" xfId="6"/>
    <cellStyle name="Normal 7" xfId="7"/>
    <cellStyle name="Normal 8" xfId="8"/>
    <cellStyle name="Percent" xfId="1" builtinId="5"/>
  </cellStyles>
  <dxfs count="12">
    <dxf>
      <font>
        <b/>
        <i/>
        <strike val="0"/>
        <condense val="0"/>
        <extend val="0"/>
        <color indexed="45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0" tint="-0.24994659260841701"/>
        </patternFill>
      </fill>
    </dxf>
    <dxf>
      <font>
        <b/>
        <i/>
        <strike val="0"/>
        <condense val="0"/>
        <extend val="0"/>
        <color indexed="45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P55"/>
  <sheetViews>
    <sheetView tabSelected="1" zoomScaleNormal="100" workbookViewId="0">
      <selection activeCell="B7" sqref="B7"/>
    </sheetView>
  </sheetViews>
  <sheetFormatPr defaultRowHeight="15" x14ac:dyDescent="0.2"/>
  <cols>
    <col min="1" max="1" width="51.140625" style="8" customWidth="1"/>
    <col min="2" max="2" width="14.5703125" style="8" customWidth="1"/>
    <col min="3" max="3" width="17.85546875" style="8" customWidth="1"/>
    <col min="4" max="4" width="10.7109375" style="8" customWidth="1"/>
    <col min="5" max="5" width="18.5703125" style="8" customWidth="1"/>
    <col min="6" max="6" width="3.42578125" style="8" customWidth="1"/>
    <col min="7" max="7" width="7" style="8" bestFit="1" customWidth="1"/>
    <col min="8" max="8" width="17" style="8" customWidth="1"/>
    <col min="9" max="9" width="38.42578125" style="8" customWidth="1"/>
    <col min="10" max="10" width="7.28515625" style="8" hidden="1" customWidth="1"/>
    <col min="11" max="11" width="11.42578125" style="8" hidden="1" customWidth="1"/>
    <col min="12" max="28" width="7.140625" style="8" hidden="1" customWidth="1"/>
    <col min="29" max="29" width="8.42578125" style="8" hidden="1" customWidth="1"/>
    <col min="30" max="32" width="7.140625" style="8" hidden="1" customWidth="1"/>
    <col min="33" max="33" width="5.85546875" style="8" hidden="1" customWidth="1"/>
    <col min="34" max="223" width="12.42578125" style="8" customWidth="1"/>
    <col min="224" max="16384" width="9.140625" style="9"/>
  </cols>
  <sheetData>
    <row r="1" spans="1:224" ht="40.5" customHeight="1" thickTop="1" thickBot="1" x14ac:dyDescent="0.3">
      <c r="A1" s="1"/>
      <c r="B1" s="2" t="s">
        <v>0</v>
      </c>
      <c r="C1" s="3" t="s">
        <v>1</v>
      </c>
      <c r="D1" s="3"/>
      <c r="E1" s="4">
        <f ca="1">YEAR(TODAY())</f>
        <v>2016</v>
      </c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99"/>
      <c r="AI1" s="99"/>
      <c r="AJ1" s="99"/>
      <c r="AK1" s="99"/>
      <c r="AL1" s="99"/>
      <c r="AM1" s="99"/>
      <c r="AN1" s="99"/>
      <c r="AO1" s="99"/>
      <c r="AP1" s="99"/>
      <c r="HP1" s="8"/>
    </row>
    <row r="2" spans="1:224" ht="26.25" customHeight="1" x14ac:dyDescent="0.25">
      <c r="A2" s="10"/>
      <c r="B2" s="110" t="s">
        <v>2</v>
      </c>
      <c r="C2" s="111"/>
      <c r="D2" s="111"/>
      <c r="E2" s="112"/>
      <c r="F2" s="11"/>
      <c r="G2" s="11"/>
      <c r="H2" s="11"/>
      <c r="I2" s="12"/>
      <c r="J2" s="13"/>
      <c r="K2" s="13"/>
      <c r="L2" s="14" t="s">
        <v>3</v>
      </c>
      <c r="M2" s="15" t="s">
        <v>4</v>
      </c>
      <c r="N2" s="15" t="s">
        <v>5</v>
      </c>
      <c r="O2" s="15" t="s">
        <v>6</v>
      </c>
      <c r="P2" s="15" t="s">
        <v>7</v>
      </c>
      <c r="Q2" s="15" t="s">
        <v>8</v>
      </c>
      <c r="R2" s="15" t="s">
        <v>9</v>
      </c>
      <c r="S2" s="15" t="s">
        <v>10</v>
      </c>
      <c r="T2" s="15" t="s">
        <v>10</v>
      </c>
      <c r="U2" s="15" t="s">
        <v>11</v>
      </c>
      <c r="V2" s="16" t="s">
        <v>12</v>
      </c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99"/>
      <c r="AI2" s="99"/>
      <c r="AJ2" s="99"/>
      <c r="AK2" s="99"/>
      <c r="AL2" s="99"/>
      <c r="AM2" s="99"/>
      <c r="AN2" s="99"/>
      <c r="AO2" s="99"/>
      <c r="AP2" s="99"/>
      <c r="HP2" s="8"/>
    </row>
    <row r="3" spans="1:224" ht="30.75" thickBot="1" x14ac:dyDescent="0.3">
      <c r="A3" s="10"/>
      <c r="B3" s="17" t="s">
        <v>13</v>
      </c>
      <c r="C3" s="18" t="s">
        <v>14</v>
      </c>
      <c r="D3" s="103" t="s">
        <v>15</v>
      </c>
      <c r="E3" s="98" t="s">
        <v>57</v>
      </c>
      <c r="F3" s="11"/>
      <c r="G3" s="11"/>
      <c r="H3" s="11"/>
      <c r="I3" s="12"/>
      <c r="J3" s="19"/>
      <c r="K3" s="19"/>
      <c r="L3" s="20" t="s">
        <v>16</v>
      </c>
      <c r="M3" s="21" t="s">
        <v>17</v>
      </c>
      <c r="N3" s="21" t="s">
        <v>18</v>
      </c>
      <c r="O3" s="21" t="s">
        <v>19</v>
      </c>
      <c r="P3" s="21" t="s">
        <v>20</v>
      </c>
      <c r="Q3" s="21" t="s">
        <v>21</v>
      </c>
      <c r="R3" s="21" t="s">
        <v>22</v>
      </c>
      <c r="S3" s="21" t="s">
        <v>23</v>
      </c>
      <c r="T3" s="21" t="s">
        <v>24</v>
      </c>
      <c r="U3" s="21" t="s">
        <v>25</v>
      </c>
      <c r="V3" s="22" t="s">
        <v>26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99"/>
      <c r="AI3" s="99"/>
      <c r="AJ3" s="99"/>
      <c r="AK3" s="99"/>
      <c r="AL3" s="99"/>
      <c r="AM3" s="99"/>
      <c r="AN3" s="99"/>
      <c r="AO3" s="99"/>
      <c r="AP3" s="99"/>
      <c r="HP3" s="8"/>
    </row>
    <row r="4" spans="1:224" ht="19.5" thickTop="1" thickBot="1" x14ac:dyDescent="0.3">
      <c r="A4" s="10"/>
      <c r="B4" s="23" t="s">
        <v>13</v>
      </c>
      <c r="C4" s="24" t="s">
        <v>27</v>
      </c>
      <c r="D4" s="104" t="s">
        <v>28</v>
      </c>
      <c r="E4" s="100">
        <v>5</v>
      </c>
      <c r="F4" s="11"/>
      <c r="G4" s="25" t="s">
        <v>29</v>
      </c>
      <c r="H4" s="26" t="str">
        <f>E3</f>
        <v>Paul Morrissey</v>
      </c>
      <c r="I4" s="12"/>
      <c r="J4" s="27" t="s">
        <v>30</v>
      </c>
      <c r="K4" s="28" t="s">
        <v>31</v>
      </c>
      <c r="L4" s="29">
        <f>2/60/1440</f>
        <v>2.3148148148148147E-5</v>
      </c>
      <c r="M4" s="30">
        <f>3/10/1440</f>
        <v>2.0833333333333332E-4</v>
      </c>
      <c r="N4" s="31">
        <f>-0.15*(1-EXP(0.7*((N5-15)/(N6-15))))</f>
        <v>0.31132006405981044</v>
      </c>
      <c r="O4" s="31">
        <v>0.05</v>
      </c>
      <c r="P4" s="30">
        <f>98.46*(EXP(-0.0053*P5)-EXP(-0.0053*P6))/42/1440</f>
        <v>5.1382952123254491E-4</v>
      </c>
      <c r="Q4" s="29">
        <f>60*0.387*ABS(Q5-Q6)/42/1440</f>
        <v>3.8392857142857141E-4</v>
      </c>
      <c r="R4" s="29">
        <f>1/60/1440</f>
        <v>1.1574074074074073E-5</v>
      </c>
      <c r="S4" s="29">
        <f>10/60/1440</f>
        <v>1.1574074074074073E-4</v>
      </c>
      <c r="T4" s="29">
        <f>1/60/1440</f>
        <v>1.1574074074074073E-5</v>
      </c>
      <c r="U4" s="29">
        <f>2/60/1440</f>
        <v>2.3148148148148147E-5</v>
      </c>
      <c r="V4" s="32">
        <f>0.5/60/1440</f>
        <v>5.7870370370370367E-6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99"/>
      <c r="AI4" s="99"/>
      <c r="AJ4" s="99"/>
      <c r="AK4" s="99"/>
      <c r="AL4" s="99"/>
      <c r="AM4" s="99"/>
      <c r="AN4" s="99"/>
      <c r="AO4" s="99"/>
      <c r="AP4" s="99"/>
      <c r="HP4" s="8"/>
    </row>
    <row r="5" spans="1:224" ht="18.75" x14ac:dyDescent="0.3">
      <c r="A5" s="10"/>
      <c r="B5" s="33" t="s">
        <v>13</v>
      </c>
      <c r="C5" s="34" t="s">
        <v>32</v>
      </c>
      <c r="D5" s="105" t="s">
        <v>33</v>
      </c>
      <c r="E5" s="101">
        <v>1982</v>
      </c>
      <c r="F5" s="11"/>
      <c r="G5" s="35" t="s">
        <v>27</v>
      </c>
      <c r="H5" s="36" t="str">
        <f>K5</f>
        <v>local</v>
      </c>
      <c r="I5" s="12"/>
      <c r="J5" s="37" t="s">
        <v>34</v>
      </c>
      <c r="K5" s="38" t="str">
        <f>IF(E4=1,"WR",IF(E4=2,"world",IF(E4=3,"national",IF(E4=4,"regional",IF(E4=5,"local",IF(E4=6,"beginner","InBetween"))))))</f>
        <v>local</v>
      </c>
      <c r="L5" s="39">
        <f ca="1">IF(E1-E5&lt;99,E1-E5,35)</f>
        <v>34</v>
      </c>
      <c r="M5" s="40" t="str">
        <f>E8</f>
        <v>m</v>
      </c>
      <c r="N5" s="41">
        <f>IF(E7/(E6/100)^2&lt;40,E7/(E6/100)^2,22)</f>
        <v>26.234567901234566</v>
      </c>
      <c r="O5" s="42">
        <f>E9</f>
        <v>75</v>
      </c>
      <c r="P5" s="40">
        <f>E10</f>
        <v>50</v>
      </c>
      <c r="Q5" s="40">
        <f>E11</f>
        <v>6</v>
      </c>
      <c r="R5" s="43">
        <f>E12</f>
        <v>0</v>
      </c>
      <c r="S5" s="40">
        <f>E13</f>
        <v>10</v>
      </c>
      <c r="T5" s="40">
        <f>E14</f>
        <v>10</v>
      </c>
      <c r="U5" s="40">
        <f>E15</f>
        <v>18</v>
      </c>
      <c r="V5" s="44">
        <f>E16</f>
        <v>0.75</v>
      </c>
      <c r="W5" s="7"/>
      <c r="X5" s="45"/>
      <c r="Y5" s="46"/>
      <c r="Z5" s="100">
        <v>1</v>
      </c>
      <c r="AA5" s="100">
        <v>2</v>
      </c>
      <c r="AB5" s="100">
        <v>3</v>
      </c>
      <c r="AC5" s="100">
        <v>34</v>
      </c>
      <c r="AD5" s="100">
        <v>4</v>
      </c>
      <c r="AE5" s="100">
        <v>5</v>
      </c>
      <c r="AF5" s="100">
        <v>6</v>
      </c>
      <c r="AG5" s="7"/>
      <c r="AH5" s="99"/>
      <c r="AI5" s="99"/>
      <c r="AJ5" s="99"/>
      <c r="AK5" s="99"/>
      <c r="AL5" s="99"/>
      <c r="AM5" s="99"/>
      <c r="AN5" s="99"/>
      <c r="AO5" s="99"/>
      <c r="AP5" s="99"/>
      <c r="HP5" s="8"/>
    </row>
    <row r="6" spans="1:224" ht="18.75" thickBot="1" x14ac:dyDescent="0.3">
      <c r="A6" s="10"/>
      <c r="B6" s="47" t="s">
        <v>13</v>
      </c>
      <c r="C6" s="48" t="s">
        <v>35</v>
      </c>
      <c r="D6" s="106" t="s">
        <v>36</v>
      </c>
      <c r="E6" s="49">
        <v>180</v>
      </c>
      <c r="F6" s="11"/>
      <c r="G6" s="50" t="s">
        <v>37</v>
      </c>
      <c r="H6" s="51" t="s">
        <v>38</v>
      </c>
      <c r="I6" s="12"/>
      <c r="J6" s="52" t="s">
        <v>37</v>
      </c>
      <c r="K6" s="53" t="s">
        <v>39</v>
      </c>
      <c r="L6" s="54">
        <v>35</v>
      </c>
      <c r="M6" s="54" t="s">
        <v>40</v>
      </c>
      <c r="N6" s="54">
        <v>22</v>
      </c>
      <c r="O6" s="54">
        <v>75</v>
      </c>
      <c r="P6" s="54">
        <v>150</v>
      </c>
      <c r="Q6" s="54">
        <v>5</v>
      </c>
      <c r="R6" s="54">
        <v>1</v>
      </c>
      <c r="S6" s="54">
        <v>0</v>
      </c>
      <c r="T6" s="54">
        <v>0</v>
      </c>
      <c r="U6" s="54">
        <v>16</v>
      </c>
      <c r="V6" s="55">
        <v>0.65</v>
      </c>
      <c r="W6" s="7"/>
      <c r="X6" s="56"/>
      <c r="Y6" s="57" t="s">
        <v>37</v>
      </c>
      <c r="Z6" s="58">
        <v>1</v>
      </c>
      <c r="AA6" s="58">
        <v>0.9</v>
      </c>
      <c r="AB6" s="58">
        <v>0.8</v>
      </c>
      <c r="AC6" s="58">
        <v>0.75</v>
      </c>
      <c r="AD6" s="58">
        <v>0.7</v>
      </c>
      <c r="AE6" s="58">
        <v>0.6</v>
      </c>
      <c r="AF6" s="59">
        <v>0.5</v>
      </c>
      <c r="AG6" s="7"/>
      <c r="AH6" s="99"/>
      <c r="AI6" s="99"/>
      <c r="AJ6" s="99"/>
      <c r="AK6" s="99"/>
      <c r="AL6" s="99"/>
      <c r="AM6" s="99"/>
      <c r="AN6" s="99"/>
      <c r="AO6" s="99"/>
      <c r="AP6" s="99"/>
      <c r="HP6" s="8"/>
    </row>
    <row r="7" spans="1:224" ht="18.75" thickTop="1" x14ac:dyDescent="0.25">
      <c r="A7" s="10"/>
      <c r="B7" s="33" t="s">
        <v>13</v>
      </c>
      <c r="C7" s="34" t="s">
        <v>41</v>
      </c>
      <c r="D7" s="105" t="s">
        <v>42</v>
      </c>
      <c r="E7" s="100">
        <v>85</v>
      </c>
      <c r="F7" s="11"/>
      <c r="G7" s="35">
        <v>5</v>
      </c>
      <c r="H7" s="36">
        <f ca="1">V7</f>
        <v>1.8301665967619236E-2</v>
      </c>
      <c r="I7" s="12"/>
      <c r="J7" s="60">
        <v>5</v>
      </c>
      <c r="K7" s="61">
        <f>HLOOKUP($E$4,$Z$5:$AF$11,X7,FALSE)</f>
        <v>1.5258487654320989E-2</v>
      </c>
      <c r="L7" s="62">
        <f ca="1">K7+($L$5-$L$6)*$L$4*J7</f>
        <v>1.5142746913580248E-2</v>
      </c>
      <c r="M7" s="63">
        <f ca="1">L7+IF($M$5&lt;&gt;"m",$M$4*J7)</f>
        <v>1.5142746913580248E-2</v>
      </c>
      <c r="N7" s="63">
        <f ca="1">M7+$N$4*J7/1440</f>
        <v>1.6223719358232368E-2</v>
      </c>
      <c r="O7" s="63">
        <f ca="1">N7+($O$6-$O$5)*$O$4/1440</f>
        <v>1.6223719358232368E-2</v>
      </c>
      <c r="P7" s="63">
        <f ca="1">O7+(P$6-P$5)*$S$4*J7/100</f>
        <v>1.6802423061936071E-2</v>
      </c>
      <c r="Q7" s="63">
        <f ca="1">P7+(Q$5-Q$6)*$S$4*J7</f>
        <v>1.7381126765639774E-2</v>
      </c>
      <c r="R7" s="63">
        <f ca="1">Q7+IF($R$5=1,0,Q7*0.02)</f>
        <v>1.772874930095257E-2</v>
      </c>
      <c r="S7" s="63">
        <f ca="1">R7+(S$5-$S$6)*$S$4*J7/1000</f>
        <v>1.7734536337989607E-2</v>
      </c>
      <c r="T7" s="63">
        <f ca="1">S7+($T$5-$T$6)*$T$4</f>
        <v>1.7850277078730346E-2</v>
      </c>
      <c r="U7" s="63">
        <f ca="1">T7+IF($U$5&lt;10,0,IF($U$5&lt;=16,0.5,IF($U$5&lt;=21,1.4,IF($U$5&lt;=27,2,2.5)))*($U$5-$U$6)*J7/60/1440)</f>
        <v>1.8012314115767383E-2</v>
      </c>
      <c r="V7" s="64">
        <f ca="1">U7+($V$5-$V$6)*100*$V$4*J7</f>
        <v>1.8301665967619236E-2</v>
      </c>
      <c r="W7" s="7"/>
      <c r="X7" s="65">
        <v>3</v>
      </c>
      <c r="Y7" s="66">
        <v>5</v>
      </c>
      <c r="Z7" s="67">
        <v>9.1550925925925931E-3</v>
      </c>
      <c r="AA7" s="67">
        <f t="shared" ref="AA7:AF11" si="0">$Z7/AA$6</f>
        <v>1.0172325102880658E-2</v>
      </c>
      <c r="AB7" s="67">
        <f t="shared" si="0"/>
        <v>1.1443865740740741E-2</v>
      </c>
      <c r="AC7" s="67">
        <f t="shared" si="0"/>
        <v>1.220679012345679E-2</v>
      </c>
      <c r="AD7" s="67">
        <f t="shared" si="0"/>
        <v>1.3078703703703705E-2</v>
      </c>
      <c r="AE7" s="67">
        <f t="shared" si="0"/>
        <v>1.5258487654320989E-2</v>
      </c>
      <c r="AF7" s="68">
        <f t="shared" si="0"/>
        <v>1.8310185185185186E-2</v>
      </c>
      <c r="AG7" s="7"/>
      <c r="AH7" s="99"/>
      <c r="AI7" s="99"/>
      <c r="AJ7" s="99"/>
      <c r="AK7" s="99"/>
      <c r="AL7" s="99"/>
      <c r="AM7" s="99"/>
      <c r="AN7" s="99"/>
      <c r="AO7" s="99"/>
      <c r="AP7" s="99"/>
      <c r="HP7" s="8"/>
    </row>
    <row r="8" spans="1:224" ht="18" x14ac:dyDescent="0.25">
      <c r="A8" s="10"/>
      <c r="B8" s="47" t="s">
        <v>13</v>
      </c>
      <c r="C8" s="48" t="s">
        <v>43</v>
      </c>
      <c r="D8" s="106" t="s">
        <v>44</v>
      </c>
      <c r="E8" s="49" t="s">
        <v>45</v>
      </c>
      <c r="F8" s="11"/>
      <c r="G8" s="69">
        <v>10</v>
      </c>
      <c r="H8" s="70">
        <f ca="1">V8</f>
        <v>3.7746850453756996E-2</v>
      </c>
      <c r="I8" s="12"/>
      <c r="J8" s="60">
        <v>10</v>
      </c>
      <c r="K8" s="61">
        <f t="shared" ref="K8:K11" si="1">HLOOKUP($E$4,$Z$5:$AF$11,X8,FALSE)</f>
        <v>3.1751543209876547E-2</v>
      </c>
      <c r="L8" s="62">
        <f ca="1">K8+($L$5-$L$6)*$L$4*J8</f>
        <v>3.1520061728395068E-2</v>
      </c>
      <c r="M8" s="63">
        <f t="shared" ref="M8:M11" ca="1" si="2">L8+IF($M$5&lt;&gt;"m",$M$4*J8)</f>
        <v>3.1520061728395068E-2</v>
      </c>
      <c r="N8" s="63">
        <f ca="1">M8+$N$4*J8/1440</f>
        <v>3.3682006617699309E-2</v>
      </c>
      <c r="O8" s="63">
        <f ca="1">N8+($O$6-$O$5)*$O$4/1440</f>
        <v>3.3682006617699309E-2</v>
      </c>
      <c r="P8" s="63">
        <f ca="1">O8+(P$6-P$5)*$S$4*J8/100</f>
        <v>3.4839414025106714E-2</v>
      </c>
      <c r="Q8" s="63">
        <f ca="1">P8+(Q$5-Q$6)*$S$4*J8</f>
        <v>3.599682143251412E-2</v>
      </c>
      <c r="R8" s="63">
        <f ca="1">Q8+IF($R$5=1,0,Q8*0.02)</f>
        <v>3.6716757861164399E-2</v>
      </c>
      <c r="S8" s="63">
        <f ca="1">R8+(S$5-$S$6)*$S$4*J8/1000</f>
        <v>3.6728331935238473E-2</v>
      </c>
      <c r="T8" s="63">
        <f ca="1">S8+($T$5-$T$6)*$T$4</f>
        <v>3.6844072675979216E-2</v>
      </c>
      <c r="U8" s="63">
        <f ca="1">T8+IF($U$5&lt;10,0,IF($U$5&lt;=16,0.5,IF($U$5&lt;=21,1.4,IF($U$5&lt;=27,2,2.5)))*($U$5-$U$6)*J8/60/1440)</f>
        <v>3.7168146750053289E-2</v>
      </c>
      <c r="V8" s="64">
        <f ca="1">U8+($V$5-$V$6)*100*$V$4*J8</f>
        <v>3.7746850453756996E-2</v>
      </c>
      <c r="W8" s="7"/>
      <c r="X8" s="65">
        <v>4</v>
      </c>
      <c r="Y8" s="66">
        <v>10</v>
      </c>
      <c r="Z8" s="67">
        <v>1.9050925925925926E-2</v>
      </c>
      <c r="AA8" s="67">
        <f t="shared" si="0"/>
        <v>2.1167695473251029E-2</v>
      </c>
      <c r="AB8" s="67">
        <f t="shared" si="0"/>
        <v>2.3813657407407405E-2</v>
      </c>
      <c r="AC8" s="67">
        <f t="shared" si="0"/>
        <v>2.5401234567901235E-2</v>
      </c>
      <c r="AD8" s="67">
        <f t="shared" si="0"/>
        <v>2.7215608465608467E-2</v>
      </c>
      <c r="AE8" s="67">
        <f t="shared" si="0"/>
        <v>3.1751543209876547E-2</v>
      </c>
      <c r="AF8" s="68">
        <f t="shared" si="0"/>
        <v>3.8101851851851852E-2</v>
      </c>
      <c r="AG8" s="7"/>
      <c r="AH8" s="99"/>
      <c r="AI8" s="99"/>
      <c r="AJ8" s="99"/>
      <c r="AK8" s="99"/>
      <c r="AL8" s="99"/>
      <c r="AM8" s="99"/>
      <c r="AN8" s="99"/>
      <c r="AO8" s="99"/>
      <c r="AP8" s="99"/>
      <c r="HP8" s="8"/>
    </row>
    <row r="9" spans="1:224" ht="18" x14ac:dyDescent="0.25">
      <c r="A9" s="10"/>
      <c r="B9" s="33" t="s">
        <v>13</v>
      </c>
      <c r="C9" s="34" t="s">
        <v>46</v>
      </c>
      <c r="D9" s="105" t="s">
        <v>6</v>
      </c>
      <c r="E9" s="100">
        <v>75</v>
      </c>
      <c r="F9" s="11"/>
      <c r="G9" s="69">
        <v>15</v>
      </c>
      <c r="H9" s="70">
        <f ca="1">V9</f>
        <v>5.7231386791746601E-2</v>
      </c>
      <c r="I9" s="12"/>
      <c r="J9" s="60">
        <v>15</v>
      </c>
      <c r="K9" s="61">
        <f t="shared" si="1"/>
        <v>4.8283179012345676E-2</v>
      </c>
      <c r="L9" s="62">
        <f ca="1">K9+($L$5-$L$6)*$L$4*J9</f>
        <v>4.7935956790123455E-2</v>
      </c>
      <c r="M9" s="63">
        <f t="shared" ca="1" si="2"/>
        <v>4.7935956790123455E-2</v>
      </c>
      <c r="N9" s="63">
        <f ca="1">M9+$N$4*J9/1440</f>
        <v>5.1178874124079815E-2</v>
      </c>
      <c r="O9" s="63">
        <f ca="1">N9+($O$6-$O$5)*$O$4/1440</f>
        <v>5.1178874124079815E-2</v>
      </c>
      <c r="P9" s="63">
        <f ca="1">O9+(P$6-P$5)*$S$4*J9/100</f>
        <v>5.2914985235190927E-2</v>
      </c>
      <c r="Q9" s="63">
        <f ca="1">P9+(Q$5-Q$6)*$S$4*J9</f>
        <v>5.4651096346302039E-2</v>
      </c>
      <c r="R9" s="63">
        <f ca="1">Q9+IF($R$5=1,0,Q9*0.02)</f>
        <v>5.5744118273228081E-2</v>
      </c>
      <c r="S9" s="63">
        <f ca="1">R9+(S$5-$S$6)*$S$4*J9/1000</f>
        <v>5.5761479384339195E-2</v>
      </c>
      <c r="T9" s="63">
        <f ca="1">S9+($T$5-$T$6)*$T$4</f>
        <v>5.5877220125079938E-2</v>
      </c>
      <c r="U9" s="63">
        <f ca="1">T9+IF($U$5&lt;10,0,IF($U$5&lt;=16,1,IF($U$5&lt;=21,1.4,IF($U$5&lt;=27,2,2.5)))*($U$5-$U$6)*J9/60/1440)</f>
        <v>5.6363331236191049E-2</v>
      </c>
      <c r="V9" s="64">
        <f ca="1">U9+($V$5-$V$6)*100*$V$4*J9</f>
        <v>5.7231386791746601E-2</v>
      </c>
      <c r="W9" s="7"/>
      <c r="X9" s="65">
        <v>5</v>
      </c>
      <c r="Y9" s="66">
        <v>15</v>
      </c>
      <c r="Z9" s="67">
        <v>2.8969907407407406E-2</v>
      </c>
      <c r="AA9" s="67">
        <f t="shared" si="0"/>
        <v>3.2188786008230448E-2</v>
      </c>
      <c r="AB9" s="67">
        <f t="shared" si="0"/>
        <v>3.6212384259259253E-2</v>
      </c>
      <c r="AC9" s="67">
        <f t="shared" si="0"/>
        <v>3.8626543209876539E-2</v>
      </c>
      <c r="AD9" s="67">
        <f t="shared" si="0"/>
        <v>4.1385582010582012E-2</v>
      </c>
      <c r="AE9" s="67">
        <f t="shared" si="0"/>
        <v>4.8283179012345676E-2</v>
      </c>
      <c r="AF9" s="68">
        <f t="shared" si="0"/>
        <v>5.7939814814814812E-2</v>
      </c>
      <c r="AG9" s="7"/>
      <c r="AH9" s="99"/>
      <c r="AI9" s="99"/>
      <c r="AJ9" s="99"/>
      <c r="AK9" s="99"/>
      <c r="AL9" s="99"/>
      <c r="AM9" s="99"/>
      <c r="AN9" s="99"/>
      <c r="AO9" s="99"/>
      <c r="AP9" s="99"/>
      <c r="HP9" s="8"/>
    </row>
    <row r="10" spans="1:224" ht="18" x14ac:dyDescent="0.25">
      <c r="A10" s="10"/>
      <c r="B10" s="47" t="s">
        <v>13</v>
      </c>
      <c r="C10" s="48" t="s">
        <v>47</v>
      </c>
      <c r="D10" s="106" t="s">
        <v>7</v>
      </c>
      <c r="E10" s="49">
        <v>50</v>
      </c>
      <c r="F10" s="11"/>
      <c r="G10" s="69">
        <v>21.1</v>
      </c>
      <c r="H10" s="70">
        <f ca="1">V10</f>
        <v>8.1472067420390204E-2</v>
      </c>
      <c r="I10" s="12"/>
      <c r="J10" s="60">
        <v>21.1</v>
      </c>
      <c r="K10" s="61">
        <f t="shared" si="1"/>
        <v>6.9058641975308643E-2</v>
      </c>
      <c r="L10" s="62">
        <f ca="1">K10+($L$5-$L$6)*$L$4*1.3*J10</f>
        <v>6.8423688271604943E-2</v>
      </c>
      <c r="M10" s="63">
        <f t="shared" ca="1" si="2"/>
        <v>6.8423688271604943E-2</v>
      </c>
      <c r="N10" s="63">
        <f ca="1">M10+$N$4*J10/1440</f>
        <v>7.2985391988036885E-2</v>
      </c>
      <c r="O10" s="63">
        <f ca="1">N10+($O$6-$O$5)*$O$4/1440</f>
        <v>7.2985391988036885E-2</v>
      </c>
      <c r="P10" s="63">
        <f ca="1">O10+(P$6-P$5)*$S$4*J10/100</f>
        <v>7.5427521617666513E-2</v>
      </c>
      <c r="Q10" s="63">
        <f ca="1">P10+(Q$5-Q$6)*$S$4*J10</f>
        <v>7.786965124729614E-2</v>
      </c>
      <c r="R10" s="63">
        <f ca="1">Q10+IF($R$5=1,0,Q10*0.02)</f>
        <v>7.9427044272242064E-2</v>
      </c>
      <c r="S10" s="63">
        <f ca="1">R10+(S$5-$S$6)*$S$4*J10/1000</f>
        <v>7.9451465568538354E-2</v>
      </c>
      <c r="T10" s="63">
        <f ca="1">S10+($T$5-$T$6)*$T$4</f>
        <v>7.956720630927909E-2</v>
      </c>
      <c r="U10" s="63">
        <f ca="1">T10+IF($U$5&lt;10,0,IF($U$5&lt;=16,1,IF($U$5&lt;=21,1.4,IF($U$5&lt;=27,2,2.5)))*($U$5-$U$6)*J10/60/1440)</f>
        <v>8.0251002605575383E-2</v>
      </c>
      <c r="V10" s="64">
        <f ca="1">U10+($V$5-$V$6)*100*$V$4*J10</f>
        <v>8.1472067420390204E-2</v>
      </c>
      <c r="W10" s="7"/>
      <c r="X10" s="65">
        <v>6</v>
      </c>
      <c r="Y10" s="66">
        <v>21.1</v>
      </c>
      <c r="Z10" s="67">
        <v>4.1435185185185186E-2</v>
      </c>
      <c r="AA10" s="67">
        <f t="shared" si="0"/>
        <v>4.603909465020576E-2</v>
      </c>
      <c r="AB10" s="67">
        <f t="shared" si="0"/>
        <v>5.1793981481481483E-2</v>
      </c>
      <c r="AC10" s="67">
        <f t="shared" si="0"/>
        <v>5.5246913580246915E-2</v>
      </c>
      <c r="AD10" s="67">
        <f t="shared" si="0"/>
        <v>5.91931216931217E-2</v>
      </c>
      <c r="AE10" s="67">
        <f t="shared" si="0"/>
        <v>6.9058641975308643E-2</v>
      </c>
      <c r="AF10" s="68">
        <f t="shared" si="0"/>
        <v>8.2870370370370372E-2</v>
      </c>
      <c r="AG10" s="7"/>
      <c r="AH10" s="99"/>
      <c r="AI10" s="99"/>
      <c r="AJ10" s="99"/>
      <c r="AK10" s="99"/>
      <c r="AL10" s="99"/>
      <c r="AM10" s="99"/>
      <c r="AN10" s="99"/>
      <c r="AO10" s="99"/>
      <c r="AP10" s="99"/>
      <c r="HP10" s="8"/>
    </row>
    <row r="11" spans="1:224" ht="18.75" thickBot="1" x14ac:dyDescent="0.3">
      <c r="A11" s="10"/>
      <c r="B11" s="33" t="s">
        <v>13</v>
      </c>
      <c r="C11" s="34" t="s">
        <v>48</v>
      </c>
      <c r="D11" s="105" t="s">
        <v>58</v>
      </c>
      <c r="E11" s="100">
        <v>6</v>
      </c>
      <c r="F11" s="11"/>
      <c r="G11" s="71">
        <v>42.2</v>
      </c>
      <c r="H11" s="72">
        <f ca="1">V11</f>
        <v>0.16912091261855822</v>
      </c>
      <c r="I11" s="12"/>
      <c r="J11" s="73">
        <v>42.2</v>
      </c>
      <c r="K11" s="61">
        <f t="shared" si="1"/>
        <v>0.14457947530864199</v>
      </c>
      <c r="L11" s="74">
        <f ca="1">K11+($L$5-$L$6)*$L$4*1.6*J11</f>
        <v>0.14301651234567903</v>
      </c>
      <c r="M11" s="75">
        <f t="shared" ca="1" si="2"/>
        <v>0.14301651234567903</v>
      </c>
      <c r="N11" s="75">
        <f ca="1">M11+$N$4*J11/1440</f>
        <v>0.15213991977854291</v>
      </c>
      <c r="O11" s="75">
        <f ca="1">N11+($O$6-$O$5)*$O$4/1440</f>
        <v>0.15213991977854291</v>
      </c>
      <c r="P11" s="75">
        <f ca="1">O11+(P$6-P$5)*$S$4*J11/100</f>
        <v>0.15702417903780216</v>
      </c>
      <c r="Q11" s="75">
        <f ca="1">P11+(Q$5-Q$6)*$S$4*J11</f>
        <v>0.16190843829706142</v>
      </c>
      <c r="R11" s="75">
        <f ca="1">Q11+IF($R$5=1,0,Q11*0.02)</f>
        <v>0.16514660706300266</v>
      </c>
      <c r="S11" s="75">
        <f ca="1">R11+(S$5-$S$6)*$S$4*J11/1000</f>
        <v>0.16519544965559524</v>
      </c>
      <c r="T11" s="75">
        <f ca="1">S11+($T$5-$T$6)*$T$4</f>
        <v>0.16531119039633599</v>
      </c>
      <c r="U11" s="75">
        <f ca="1">T11+IF($U$5&lt;10,0,IF($U$5&lt;=16,1,IF($U$5&lt;=21,1.4,IF($U$5&lt;=27,2,2.5)))*($U$5-$U$6)*J11/60/1440)</f>
        <v>0.16667878298892858</v>
      </c>
      <c r="V11" s="76">
        <f ca="1">U11+($V$5-$V$6)*100*$V$4*J11</f>
        <v>0.16912091261855822</v>
      </c>
      <c r="W11" s="7"/>
      <c r="X11" s="77">
        <v>7</v>
      </c>
      <c r="Y11" s="78">
        <v>42.2</v>
      </c>
      <c r="Z11" s="79">
        <v>8.6747685185185192E-2</v>
      </c>
      <c r="AA11" s="79">
        <f t="shared" si="0"/>
        <v>9.6386316872427991E-2</v>
      </c>
      <c r="AB11" s="79">
        <f t="shared" si="0"/>
        <v>0.10843460648148148</v>
      </c>
      <c r="AC11" s="79">
        <f t="shared" si="0"/>
        <v>0.11566358024691359</v>
      </c>
      <c r="AD11" s="79">
        <f t="shared" si="0"/>
        <v>0.12392526455026456</v>
      </c>
      <c r="AE11" s="79">
        <f t="shared" si="0"/>
        <v>0.14457947530864199</v>
      </c>
      <c r="AF11" s="80">
        <f t="shared" si="0"/>
        <v>0.17349537037037038</v>
      </c>
      <c r="AG11" s="7"/>
      <c r="AH11" s="99"/>
      <c r="AI11" s="99"/>
      <c r="AJ11" s="99"/>
      <c r="AK11" s="99"/>
      <c r="AL11" s="99"/>
      <c r="AM11" s="99"/>
      <c r="AN11" s="99"/>
      <c r="AO11" s="99"/>
      <c r="AP11" s="99"/>
      <c r="HN11" s="9"/>
      <c r="HO11" s="9"/>
    </row>
    <row r="12" spans="1:224" ht="18.75" thickTop="1" x14ac:dyDescent="0.25">
      <c r="A12" s="10"/>
      <c r="B12" s="47" t="s">
        <v>13</v>
      </c>
      <c r="C12" s="48" t="s">
        <v>49</v>
      </c>
      <c r="D12" s="106" t="s">
        <v>50</v>
      </c>
      <c r="E12" s="49">
        <v>0</v>
      </c>
      <c r="F12" s="11"/>
      <c r="G12" s="11"/>
      <c r="H12" s="11"/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9"/>
      <c r="AI12" s="99"/>
      <c r="AJ12" s="99"/>
      <c r="AK12" s="99"/>
      <c r="AL12" s="99"/>
      <c r="AM12" s="99"/>
      <c r="AN12" s="99"/>
      <c r="AO12" s="99"/>
      <c r="AP12" s="99"/>
      <c r="HM12" s="9"/>
      <c r="HN12" s="9"/>
      <c r="HO12" s="9"/>
    </row>
    <row r="13" spans="1:224" ht="18" x14ac:dyDescent="0.25">
      <c r="A13" s="10"/>
      <c r="B13" s="81" t="s">
        <v>51</v>
      </c>
      <c r="C13" s="82" t="s">
        <v>23</v>
      </c>
      <c r="D13" s="107" t="s">
        <v>45</v>
      </c>
      <c r="E13" s="102">
        <v>10</v>
      </c>
      <c r="F13" s="11"/>
      <c r="G13" s="11"/>
      <c r="H13" s="11"/>
      <c r="I13" s="1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9"/>
      <c r="AI13" s="99"/>
      <c r="AJ13" s="99"/>
      <c r="AK13" s="99"/>
      <c r="AL13" s="99"/>
      <c r="AM13" s="99"/>
      <c r="AN13" s="99"/>
      <c r="AO13" s="99"/>
      <c r="AP13" s="99"/>
      <c r="HJ13" s="9"/>
      <c r="HK13" s="9"/>
      <c r="HL13" s="9"/>
      <c r="HM13" s="9"/>
      <c r="HN13" s="9"/>
      <c r="HO13" s="9"/>
    </row>
    <row r="14" spans="1:224" ht="18" x14ac:dyDescent="0.25">
      <c r="A14" s="10"/>
      <c r="B14" s="83" t="s">
        <v>51</v>
      </c>
      <c r="C14" s="84" t="s">
        <v>52</v>
      </c>
      <c r="D14" s="108" t="s">
        <v>45</v>
      </c>
      <c r="E14" s="85">
        <v>10</v>
      </c>
      <c r="F14" s="11"/>
      <c r="G14" s="11"/>
      <c r="H14" s="11"/>
      <c r="I14" s="1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9"/>
      <c r="AI14" s="99"/>
      <c r="AJ14" s="99"/>
      <c r="AK14" s="99"/>
      <c r="AL14" s="99"/>
      <c r="AM14" s="99"/>
      <c r="AN14" s="99"/>
      <c r="AO14" s="99"/>
      <c r="AP14" s="99"/>
      <c r="HJ14" s="9"/>
      <c r="HK14" s="9"/>
      <c r="HL14" s="9"/>
      <c r="HM14" s="9"/>
      <c r="HN14" s="9"/>
      <c r="HO14" s="9"/>
    </row>
    <row r="15" spans="1:224" ht="18" x14ac:dyDescent="0.25">
      <c r="A15" s="10"/>
      <c r="B15" s="81" t="s">
        <v>53</v>
      </c>
      <c r="C15" s="82" t="s">
        <v>54</v>
      </c>
      <c r="D15" s="107" t="s">
        <v>55</v>
      </c>
      <c r="E15" s="102">
        <v>18</v>
      </c>
      <c r="F15" s="11"/>
      <c r="G15" s="11"/>
      <c r="H15" s="11"/>
      <c r="I15" s="1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9"/>
      <c r="AI15" s="99"/>
      <c r="AJ15" s="99"/>
      <c r="AK15" s="99"/>
      <c r="AL15" s="99"/>
      <c r="AM15" s="99"/>
      <c r="AN15" s="99"/>
      <c r="AO15" s="99"/>
      <c r="AP15" s="99"/>
      <c r="HJ15" s="9"/>
      <c r="HK15" s="9"/>
      <c r="HL15" s="9"/>
      <c r="HM15" s="9"/>
      <c r="HN15" s="9"/>
      <c r="HO15" s="9"/>
    </row>
    <row r="16" spans="1:224" ht="18.75" thickBot="1" x14ac:dyDescent="0.3">
      <c r="A16" s="10"/>
      <c r="B16" s="86" t="s">
        <v>53</v>
      </c>
      <c r="C16" s="87" t="s">
        <v>56</v>
      </c>
      <c r="D16" s="109" t="s">
        <v>12</v>
      </c>
      <c r="E16" s="88">
        <v>0.75</v>
      </c>
      <c r="F16" s="11"/>
      <c r="G16" s="11"/>
      <c r="H16" s="11"/>
      <c r="I16" s="12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9"/>
      <c r="AI16" s="99"/>
      <c r="AJ16" s="99"/>
      <c r="AK16" s="99"/>
      <c r="AL16" s="99"/>
      <c r="AM16" s="99"/>
      <c r="AN16" s="99"/>
      <c r="AO16" s="99"/>
      <c r="AP16" s="99"/>
      <c r="HJ16" s="9"/>
      <c r="HK16" s="9"/>
      <c r="HL16" s="9"/>
      <c r="HM16" s="9"/>
      <c r="HN16" s="9"/>
      <c r="HO16" s="9"/>
    </row>
    <row r="17" spans="1:223" ht="25.5" customHeight="1" thickTop="1" x14ac:dyDescent="0.2">
      <c r="A17" s="89"/>
      <c r="B17" s="90"/>
      <c r="C17" s="90"/>
      <c r="D17" s="90"/>
      <c r="E17" s="90"/>
      <c r="F17" s="90"/>
      <c r="G17" s="90"/>
      <c r="H17" s="90"/>
      <c r="I17" s="91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9"/>
      <c r="AI17" s="99"/>
      <c r="AJ17" s="99"/>
      <c r="AK17" s="99"/>
      <c r="AL17" s="99"/>
      <c r="AM17" s="99"/>
      <c r="AN17" s="99"/>
      <c r="AO17" s="99"/>
      <c r="AP17" s="99"/>
      <c r="HJ17" s="9"/>
      <c r="HK17" s="9"/>
      <c r="HL17" s="9"/>
      <c r="HM17" s="9"/>
      <c r="HN17" s="9"/>
      <c r="HO17" s="9"/>
    </row>
    <row r="18" spans="1:223" ht="27" customHeight="1" thickBot="1" x14ac:dyDescent="0.25">
      <c r="A18" s="92"/>
      <c r="B18" s="93"/>
      <c r="C18" s="93"/>
      <c r="D18" s="93"/>
      <c r="E18" s="93"/>
      <c r="F18" s="93"/>
      <c r="G18" s="93"/>
      <c r="H18" s="93"/>
      <c r="I18" s="9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9"/>
      <c r="AI18" s="99"/>
      <c r="AJ18" s="99"/>
      <c r="AK18" s="99"/>
      <c r="AL18" s="99"/>
      <c r="AM18" s="99"/>
      <c r="AN18" s="99"/>
      <c r="AO18" s="99"/>
      <c r="AP18" s="99"/>
      <c r="HJ18" s="9"/>
      <c r="HK18" s="9"/>
      <c r="HL18" s="9"/>
      <c r="HM18" s="9"/>
      <c r="HN18" s="9"/>
      <c r="HO18" s="9"/>
    </row>
    <row r="19" spans="1:223" ht="15.75" thickTop="1" x14ac:dyDescent="0.2">
      <c r="A19" s="95"/>
      <c r="B19" s="95"/>
      <c r="C19" s="95"/>
      <c r="D19" s="95"/>
      <c r="E19" s="95"/>
      <c r="F19" s="95"/>
      <c r="G19" s="95"/>
      <c r="H19" s="95"/>
      <c r="I19" s="95"/>
      <c r="U19" s="9"/>
      <c r="V19" s="9"/>
      <c r="W19" s="9"/>
      <c r="HJ19" s="9"/>
      <c r="HK19" s="9"/>
      <c r="HL19" s="9"/>
      <c r="HM19" s="9"/>
      <c r="HN19" s="9"/>
      <c r="HO19" s="9"/>
    </row>
    <row r="20" spans="1:223" s="8" customFormat="1" x14ac:dyDescent="0.2">
      <c r="A20" s="9"/>
      <c r="G20" s="9"/>
      <c r="H20" s="9"/>
    </row>
    <row r="21" spans="1:223" s="8" customFormat="1" x14ac:dyDescent="0.2">
      <c r="F21" s="9"/>
      <c r="J21" s="95"/>
      <c r="K21" s="95"/>
      <c r="L21" s="95"/>
      <c r="M21" s="95"/>
    </row>
    <row r="22" spans="1:223" s="8" customFormat="1" ht="15.75" x14ac:dyDescent="0.25">
      <c r="J22" s="96"/>
    </row>
    <row r="23" spans="1:223" s="8" customFormat="1" ht="15.75" x14ac:dyDescent="0.25">
      <c r="J23" s="96"/>
    </row>
    <row r="24" spans="1:223" s="8" customFormat="1" x14ac:dyDescent="0.2"/>
    <row r="25" spans="1:223" s="8" customFormat="1" x14ac:dyDescent="0.2"/>
    <row r="26" spans="1:223" s="8" customFormat="1" x14ac:dyDescent="0.2"/>
    <row r="27" spans="1:223" s="8" customFormat="1" x14ac:dyDescent="0.2"/>
    <row r="28" spans="1:223" s="8" customFormat="1" x14ac:dyDescent="0.2"/>
    <row r="29" spans="1:223" s="8" customFormat="1" x14ac:dyDescent="0.2"/>
    <row r="30" spans="1:223" s="8" customFormat="1" x14ac:dyDescent="0.2"/>
    <row r="31" spans="1:223" s="8" customFormat="1" x14ac:dyDescent="0.2"/>
    <row r="32" spans="1:223" s="8" customFormat="1" x14ac:dyDescent="0.2"/>
    <row r="33" spans="1:18" s="8" customFormat="1" x14ac:dyDescent="0.2"/>
    <row r="34" spans="1:18" s="8" customFormat="1" ht="15.75" x14ac:dyDescent="0.25">
      <c r="J34" s="97"/>
      <c r="K34" s="97"/>
      <c r="L34" s="97"/>
      <c r="M34" s="97"/>
      <c r="N34" s="97"/>
      <c r="O34" s="97"/>
      <c r="P34" s="97"/>
      <c r="Q34" s="97"/>
      <c r="R34" s="97"/>
    </row>
    <row r="35" spans="1:18" s="8" customFormat="1" ht="15.75" x14ac:dyDescent="0.25">
      <c r="I35" s="97"/>
      <c r="J35" s="97"/>
      <c r="K35" s="97"/>
      <c r="L35" s="97"/>
      <c r="M35" s="97"/>
      <c r="N35" s="97"/>
      <c r="O35" s="97"/>
      <c r="P35" s="97"/>
      <c r="Q35" s="97"/>
      <c r="R35" s="97"/>
    </row>
    <row r="36" spans="1:18" s="8" customFormat="1" ht="15.75" x14ac:dyDescent="0.25">
      <c r="A36" s="95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1:18" s="8" customFormat="1" ht="15.75" x14ac:dyDescent="0.25">
      <c r="A37" s="95"/>
      <c r="J37" s="97"/>
      <c r="K37" s="97"/>
      <c r="L37" s="97"/>
      <c r="M37" s="97"/>
      <c r="N37" s="97"/>
      <c r="O37" s="97"/>
      <c r="P37" s="97"/>
      <c r="Q37" s="97"/>
      <c r="R37" s="97"/>
    </row>
    <row r="38" spans="1:18" s="8" customFormat="1" x14ac:dyDescent="0.2">
      <c r="A38" s="95"/>
    </row>
    <row r="39" spans="1:18" s="8" customFormat="1" x14ac:dyDescent="0.2">
      <c r="A39" s="95"/>
    </row>
    <row r="40" spans="1:18" s="8" customFormat="1" x14ac:dyDescent="0.2">
      <c r="A40" s="95"/>
    </row>
    <row r="41" spans="1:18" s="8" customFormat="1" x14ac:dyDescent="0.2">
      <c r="A41" s="95"/>
    </row>
    <row r="42" spans="1:18" s="8" customFormat="1" x14ac:dyDescent="0.2">
      <c r="A42" s="95"/>
    </row>
    <row r="43" spans="1:18" s="8" customFormat="1" x14ac:dyDescent="0.2">
      <c r="A43" s="95"/>
    </row>
    <row r="44" spans="1:18" s="8" customFormat="1" x14ac:dyDescent="0.2">
      <c r="A44" s="95"/>
    </row>
    <row r="45" spans="1:18" s="8" customFormat="1" x14ac:dyDescent="0.2">
      <c r="A45" s="95"/>
    </row>
    <row r="46" spans="1:18" s="8" customFormat="1" x14ac:dyDescent="0.2"/>
    <row r="47" spans="1:18" s="8" customFormat="1" x14ac:dyDescent="0.2"/>
    <row r="48" spans="1:18" s="8" customFormat="1" x14ac:dyDescent="0.2"/>
    <row r="49" spans="5:5" s="8" customFormat="1" x14ac:dyDescent="0.2"/>
    <row r="50" spans="5:5" s="8" customFormat="1" x14ac:dyDescent="0.2"/>
    <row r="51" spans="5:5" x14ac:dyDescent="0.2">
      <c r="E51" s="9"/>
    </row>
    <row r="52" spans="5:5" x14ac:dyDescent="0.2">
      <c r="E52" s="9"/>
    </row>
    <row r="53" spans="5:5" x14ac:dyDescent="0.2">
      <c r="E53" s="9"/>
    </row>
    <row r="54" spans="5:5" x14ac:dyDescent="0.2">
      <c r="E54" s="9"/>
    </row>
    <row r="55" spans="5:5" x14ac:dyDescent="0.2">
      <c r="E55" s="9"/>
    </row>
  </sheetData>
  <sheetProtection sheet="1" objects="1" scenarios="1"/>
  <dataConsolidate/>
  <mergeCells count="1">
    <mergeCell ref="B2:E2"/>
  </mergeCells>
  <conditionalFormatting sqref="E5">
    <cfRule type="cellIs" dxfId="11" priority="8" stopIfTrue="1" operator="lessThan">
      <formula>0</formula>
    </cfRule>
    <cfRule type="cellIs" dxfId="10" priority="9" operator="lessThan">
      <formula>0</formula>
    </cfRule>
    <cfRule type="cellIs" dxfId="9" priority="10" operator="lessThan">
      <formula>0</formula>
    </cfRule>
    <cfRule type="cellIs" dxfId="8" priority="11" operator="lessThan">
      <formula>9555970</formula>
    </cfRule>
    <cfRule type="cellIs" dxfId="7" priority="12" operator="lessThan">
      <formula>0</formula>
    </cfRule>
  </conditionalFormatting>
  <conditionalFormatting sqref="E5">
    <cfRule type="cellIs" dxfId="6" priority="7" stopIfTrue="1" operator="greaterThan">
      <formula>200000000</formula>
    </cfRule>
  </conditionalFormatting>
  <conditionalFormatting sqref="E9 E11 E13 E15">
    <cfRule type="cellIs" dxfId="5" priority="2" stopIfTrue="1" operator="lessThan">
      <formula>0</formula>
    </cfRule>
    <cfRule type="cellIs" dxfId="4" priority="3" operator="lessThan">
      <formula>0</formula>
    </cfRule>
    <cfRule type="cellIs" dxfId="3" priority="4" operator="lessThan">
      <formula>0</formula>
    </cfRule>
    <cfRule type="cellIs" dxfId="2" priority="5" operator="lessThan">
      <formula>9555970</formula>
    </cfRule>
    <cfRule type="cellIs" dxfId="1" priority="6" operator="lessThan">
      <formula>0</formula>
    </cfRule>
  </conditionalFormatting>
  <conditionalFormatting sqref="E9 E11 E13 E15">
    <cfRule type="cellIs" dxfId="0" priority="1" stopIfTrue="1" operator="greaterThan">
      <formula>200000000</formula>
    </cfRule>
  </conditionalFormatting>
  <pageMargins left="0.5" right="0.5" top="0.5" bottom="0.5" header="0" footer="0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perf_calc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2016-03-31T17:29:44Z</dcterms:created>
  <dcterms:modified xsi:type="dcterms:W3CDTF">2016-04-07T19:05:50Z</dcterms:modified>
</cp:coreProperties>
</file>